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Input and results" sheetId="8" r:id="rId1"/>
    <sheet name="N2O calcs" sheetId="4" r:id="rId2"/>
    <sheet name="CO2 calcs" sheetId="5" r:id="rId3"/>
    <sheet name="CH4 calcs" sheetId="6" r:id="rId4"/>
  </sheets>
  <calcPr calcId="125725"/>
</workbook>
</file>

<file path=xl/calcChain.xml><?xml version="1.0" encoding="utf-8"?>
<calcChain xmlns="http://schemas.openxmlformats.org/spreadsheetml/2006/main">
  <c r="B5" i="4"/>
  <c r="B5" i="6"/>
  <c r="B5" i="5"/>
  <c r="B7" i="6"/>
  <c r="B7" i="5"/>
  <c r="B7" i="4"/>
  <c r="A31" i="8"/>
  <c r="H31"/>
  <c r="A32"/>
  <c r="H32"/>
  <c r="A28"/>
  <c r="H28"/>
  <c r="A29"/>
  <c r="H29"/>
  <c r="D23"/>
  <c r="B24"/>
  <c r="C24"/>
  <c r="D24"/>
  <c r="E24"/>
  <c r="F24"/>
  <c r="G24"/>
  <c r="H24"/>
  <c r="A25"/>
  <c r="H25"/>
  <c r="A26"/>
  <c r="H26"/>
  <c r="B8" i="5"/>
  <c r="B8" i="6"/>
  <c r="B8" i="4"/>
  <c r="B1" i="6"/>
  <c r="B2"/>
  <c r="B6"/>
  <c r="B1" i="5"/>
  <c r="B2"/>
  <c r="B6"/>
  <c r="B1" i="4"/>
  <c r="B2"/>
  <c r="B6"/>
  <c r="B8" i="8" l="1"/>
  <c r="F11" i="6"/>
  <c r="F10" i="5"/>
  <c r="E10" i="4"/>
  <c r="E11" i="5"/>
  <c r="E11" i="6"/>
  <c r="E11" i="4"/>
  <c r="F10" i="6"/>
  <c r="F10" i="4"/>
  <c r="F11" i="5"/>
  <c r="F11" i="4"/>
  <c r="E10" i="5"/>
  <c r="E10" i="6"/>
  <c r="D10" i="5"/>
  <c r="D11" i="6"/>
  <c r="D10"/>
  <c r="D11" i="4"/>
  <c r="D10"/>
  <c r="C10" i="5"/>
  <c r="C10" i="6"/>
  <c r="C10" i="4"/>
  <c r="C11" i="5"/>
  <c r="C11" i="6"/>
  <c r="C11" i="4"/>
  <c r="B10" i="6"/>
  <c r="B10" i="4"/>
  <c r="B12" s="1"/>
  <c r="B11"/>
  <c r="B11" i="6"/>
  <c r="G10"/>
  <c r="B7" i="8" l="1"/>
  <c r="B4" i="5"/>
  <c r="B4" i="4"/>
  <c r="B4" i="6"/>
  <c r="E12" i="4"/>
  <c r="E13" s="1"/>
  <c r="E14" s="1"/>
  <c r="D12" i="6"/>
  <c r="D13" s="1"/>
  <c r="D14" s="1"/>
  <c r="F12" i="5"/>
  <c r="F13" s="1"/>
  <c r="F14" s="1"/>
  <c r="C12"/>
  <c r="C13" s="1"/>
  <c r="C14" s="1"/>
  <c r="E12"/>
  <c r="E13" s="1"/>
  <c r="E14" s="1"/>
  <c r="C12" i="6"/>
  <c r="C13" s="1"/>
  <c r="C14" s="1"/>
  <c r="E12"/>
  <c r="E13" s="1"/>
  <c r="E14" s="1"/>
  <c r="G11"/>
  <c r="G12" s="1"/>
  <c r="G13" s="1"/>
  <c r="G14" s="1"/>
  <c r="B10" i="5"/>
  <c r="D11"/>
  <c r="D12" s="1"/>
  <c r="D13" s="1"/>
  <c r="D14" s="1"/>
  <c r="B12" i="6"/>
  <c r="B13" s="1"/>
  <c r="B14" s="1"/>
  <c r="F12"/>
  <c r="F13" s="1"/>
  <c r="F14" s="1"/>
  <c r="F12" i="4"/>
  <c r="F13" s="1"/>
  <c r="F14" s="1"/>
  <c r="B13"/>
  <c r="B14" s="1"/>
  <c r="C12"/>
  <c r="C13" s="1"/>
  <c r="C14" s="1"/>
  <c r="G11" i="5"/>
  <c r="B11"/>
  <c r="G10"/>
  <c r="G11" i="4"/>
  <c r="G10"/>
  <c r="B3" i="6" l="1"/>
  <c r="B15" s="1"/>
  <c r="B16" s="1"/>
  <c r="B19" s="1"/>
  <c r="B3" i="5"/>
  <c r="E15" s="1"/>
  <c r="E16" s="1"/>
  <c r="E19" s="1"/>
  <c r="B3" i="4"/>
  <c r="E15" s="1"/>
  <c r="E16" s="1"/>
  <c r="E19" s="1"/>
  <c r="F15" i="6"/>
  <c r="F16" s="1"/>
  <c r="G15"/>
  <c r="G16" s="1"/>
  <c r="G19" s="1"/>
  <c r="C15"/>
  <c r="C16" s="1"/>
  <c r="C19" s="1"/>
  <c r="B12" i="5"/>
  <c r="B13" s="1"/>
  <c r="B14" s="1"/>
  <c r="F19" i="6"/>
  <c r="G12" i="5"/>
  <c r="G13" s="1"/>
  <c r="G14" s="1"/>
  <c r="D12" i="4"/>
  <c r="D13" s="1"/>
  <c r="D14" s="1"/>
  <c r="G12"/>
  <c r="G13" s="1"/>
  <c r="D15" i="6" l="1"/>
  <c r="D16" s="1"/>
  <c r="D19" s="1"/>
  <c r="E15"/>
  <c r="E16" s="1"/>
  <c r="E19" s="1"/>
  <c r="E31" i="8" s="1"/>
  <c r="B15" i="5"/>
  <c r="B16" s="1"/>
  <c r="B19" s="1"/>
  <c r="B28" i="8" s="1"/>
  <c r="C15" i="5"/>
  <c r="C16" s="1"/>
  <c r="C19" s="1"/>
  <c r="D15" i="4"/>
  <c r="D16" s="1"/>
  <c r="D19" s="1"/>
  <c r="D20" s="1"/>
  <c r="D26" i="8" s="1"/>
  <c r="F15" i="4"/>
  <c r="F16" s="1"/>
  <c r="F19" s="1"/>
  <c r="B15"/>
  <c r="B16" s="1"/>
  <c r="B19" s="1"/>
  <c r="B25" i="8" s="1"/>
  <c r="E25"/>
  <c r="E20" i="4"/>
  <c r="E26" i="8" s="1"/>
  <c r="E20" i="6"/>
  <c r="E32" i="8" s="1"/>
  <c r="C20" i="6"/>
  <c r="C32" i="8" s="1"/>
  <c r="C31"/>
  <c r="F20" i="6"/>
  <c r="F32" i="8" s="1"/>
  <c r="F31"/>
  <c r="D20" i="6"/>
  <c r="D32" i="8" s="1"/>
  <c r="D31"/>
  <c r="G20" i="6"/>
  <c r="G32" i="8" s="1"/>
  <c r="G31"/>
  <c r="B20" i="6"/>
  <c r="B32" i="8" s="1"/>
  <c r="B31"/>
  <c r="D15" i="5"/>
  <c r="D16" s="1"/>
  <c r="D19" s="1"/>
  <c r="F15"/>
  <c r="F16" s="1"/>
  <c r="F19" s="1"/>
  <c r="F28" i="8" s="1"/>
  <c r="C15" i="4"/>
  <c r="C16" s="1"/>
  <c r="C19" s="1"/>
  <c r="G15" i="5"/>
  <c r="G16" s="1"/>
  <c r="G19" s="1"/>
  <c r="E20"/>
  <c r="E29" i="8" s="1"/>
  <c r="E28"/>
  <c r="D25"/>
  <c r="G14" i="4"/>
  <c r="G15" s="1"/>
  <c r="G16" s="1"/>
  <c r="G19" s="1"/>
  <c r="F20" i="5" l="1"/>
  <c r="F29" i="8" s="1"/>
  <c r="B20" i="4"/>
  <c r="B26" i="8" s="1"/>
  <c r="B20" i="5"/>
  <c r="B29" i="8" s="1"/>
  <c r="C28"/>
  <c r="C20" i="5"/>
  <c r="C29" i="8" s="1"/>
  <c r="F20" i="4"/>
  <c r="F26" i="8" s="1"/>
  <c r="F25"/>
  <c r="C25"/>
  <c r="C20" i="4"/>
  <c r="C26" i="8" s="1"/>
  <c r="D28"/>
  <c r="D20" i="5"/>
  <c r="D29" i="8" s="1"/>
  <c r="G20" i="5"/>
  <c r="G29" i="8" s="1"/>
  <c r="G28"/>
  <c r="G20" i="4"/>
  <c r="G26" i="8" s="1"/>
  <c r="G25"/>
</calcChain>
</file>

<file path=xl/sharedStrings.xml><?xml version="1.0" encoding="utf-8"?>
<sst xmlns="http://schemas.openxmlformats.org/spreadsheetml/2006/main" count="233" uniqueCount="63">
  <si>
    <t>LR</t>
  </si>
  <si>
    <t>a</t>
  </si>
  <si>
    <t>b</t>
  </si>
  <si>
    <t>units</t>
  </si>
  <si>
    <t>/h/CV</t>
  </si>
  <si>
    <t>slope factor</t>
  </si>
  <si>
    <t>scaled slope factor (theta)</t>
  </si>
  <si>
    <t>a (Value from Table 7)</t>
  </si>
  <si>
    <t>b (Value from Table 7)</t>
  </si>
  <si>
    <t>deployment period</t>
  </si>
  <si>
    <t>h</t>
  </si>
  <si>
    <t>/h^2/CV</t>
  </si>
  <si>
    <t>-----</t>
  </si>
  <si>
    <t>positive flux dl</t>
  </si>
  <si>
    <t>negative flux dl</t>
  </si>
  <si>
    <t>m^2</t>
  </si>
  <si>
    <t>chamber volume</t>
  </si>
  <si>
    <t>chamber area</t>
  </si>
  <si>
    <t>Table 7</t>
  </si>
  <si>
    <t>3 points</t>
  </si>
  <si>
    <t>4 points</t>
  </si>
  <si>
    <t>error</t>
  </si>
  <si>
    <t>air temp</t>
  </si>
  <si>
    <t>deg C</t>
  </si>
  <si>
    <t>atm pressure</t>
  </si>
  <si>
    <t>atm</t>
  </si>
  <si>
    <t>nmol/m2/h</t>
  </si>
  <si>
    <t>ug N/m2/h</t>
  </si>
  <si>
    <t>RESULTS</t>
  </si>
  <si>
    <t>Example calculations for determining Flux detection limit (Parkin et al., 2012)</t>
  </si>
  <si>
    <t>nL/L or ppb</t>
  </si>
  <si>
    <t>nL/L/h/CV</t>
  </si>
  <si>
    <t>nL/L/h</t>
  </si>
  <si>
    <t>L</t>
  </si>
  <si>
    <t>nL/m2/h</t>
  </si>
  <si>
    <t>uL/L or ppm</t>
  </si>
  <si>
    <t>uL/L/h/CV</t>
  </si>
  <si>
    <t>uL/L/h</t>
  </si>
  <si>
    <t>uL/m2/h</t>
  </si>
  <si>
    <t>umol/m2/h</t>
  </si>
  <si>
    <t>ug CO2-C/m2/h</t>
  </si>
  <si>
    <t>Enter data in highlighted cells using units indicated:-&gt;</t>
  </si>
  <si>
    <t>ug CH4-C/m2/h</t>
  </si>
  <si>
    <t>HMR*</t>
  </si>
  <si>
    <t>*HMR is only calculated for n = 4</t>
  </si>
  <si>
    <t>number of sampling points (n)</t>
  </si>
  <si>
    <t>CV**</t>
  </si>
  <si>
    <t>** CV is determined by analyzing several (20 to 30 is recommended) ambient samples or standards having near-ambient concentration and then calculating CV from std dev/mean x 100</t>
  </si>
  <si>
    <t>%</t>
  </si>
  <si>
    <t>mean ambient CH4 concentration</t>
  </si>
  <si>
    <t>mean ambient CO2 concentration</t>
  </si>
  <si>
    <t>mean ambient N2O concentration</t>
  </si>
  <si>
    <t>rH/M</t>
  </si>
  <si>
    <t>H/M</t>
  </si>
  <si>
    <t>Quad</t>
  </si>
  <si>
    <t>rQuad</t>
  </si>
  <si>
    <t>Analytical Precision (CV**)</t>
  </si>
  <si>
    <t>Default input values used below follow the example described in the Supplement</t>
  </si>
  <si>
    <t>(enter either 3 or 4)*</t>
  </si>
  <si>
    <t>N2O</t>
  </si>
  <si>
    <t>CO2</t>
  </si>
  <si>
    <t>CH4</t>
  </si>
  <si>
    <t>mean ambient concentration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</si>
</sst>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 applyAlignment="1">
      <alignment wrapText="1"/>
    </xf>
    <xf numFmtId="0" fontId="0" fillId="3" borderId="8" xfId="0" applyFill="1" applyBorder="1"/>
    <xf numFmtId="0" fontId="1" fillId="2" borderId="0" xfId="0" applyFont="1" applyFill="1"/>
    <xf numFmtId="164" fontId="0" fillId="3" borderId="0" xfId="0" applyNumberFormat="1" applyFill="1" applyBorder="1"/>
    <xf numFmtId="164" fontId="0" fillId="3" borderId="7" xfId="0" applyNumberFormat="1" applyFill="1" applyBorder="1"/>
    <xf numFmtId="0" fontId="0" fillId="0" borderId="0" xfId="0" applyFont="1" applyAlignment="1">
      <alignment wrapText="1"/>
    </xf>
    <xf numFmtId="0" fontId="0" fillId="0" borderId="0" xfId="0" applyFill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/>
  </sheetViews>
  <sheetFormatPr defaultRowHeight="15"/>
  <cols>
    <col min="1" max="1" width="31" customWidth="1"/>
    <col min="2" max="2" width="18.42578125" customWidth="1"/>
    <col min="3" max="3" width="11.7109375" customWidth="1"/>
    <col min="8" max="8" width="14.7109375" bestFit="1" customWidth="1"/>
  </cols>
  <sheetData>
    <row r="1" spans="1:7">
      <c r="A1" s="4" t="s">
        <v>29</v>
      </c>
      <c r="B1" s="4"/>
      <c r="C1" s="4"/>
      <c r="D1" s="4"/>
      <c r="E1" s="4"/>
      <c r="F1" s="4"/>
      <c r="G1" s="4"/>
    </row>
    <row r="2" spans="1:7">
      <c r="A2" s="4" t="s">
        <v>57</v>
      </c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>
      <c r="A4" s="3" t="s">
        <v>41</v>
      </c>
      <c r="B4" s="3"/>
      <c r="C4" s="13" t="s">
        <v>3</v>
      </c>
      <c r="D4" s="3"/>
    </row>
    <row r="5" spans="1:7">
      <c r="A5" t="s">
        <v>45</v>
      </c>
      <c r="B5" s="3">
        <v>3</v>
      </c>
      <c r="C5" s="3" t="s">
        <v>58</v>
      </c>
      <c r="D5" s="3"/>
    </row>
    <row r="6" spans="1:7">
      <c r="A6" t="s">
        <v>9</v>
      </c>
      <c r="B6" s="3">
        <v>0.66700000000000004</v>
      </c>
      <c r="C6" s="3" t="s">
        <v>10</v>
      </c>
      <c r="D6" s="3"/>
    </row>
    <row r="7" spans="1:7">
      <c r="A7" s="1" t="s">
        <v>16</v>
      </c>
      <c r="B7" s="3">
        <f>B8*100*100*15/1000</f>
        <v>10.602875205865551</v>
      </c>
      <c r="C7" s="3" t="s">
        <v>33</v>
      </c>
      <c r="D7" s="3"/>
    </row>
    <row r="8" spans="1:7">
      <c r="A8" s="1" t="s">
        <v>17</v>
      </c>
      <c r="B8" s="3">
        <f>0.15^2*PI()</f>
        <v>7.0685834705770348E-2</v>
      </c>
      <c r="C8" s="3" t="s">
        <v>15</v>
      </c>
      <c r="D8" s="3"/>
    </row>
    <row r="9" spans="1:7">
      <c r="A9" s="1" t="s">
        <v>22</v>
      </c>
      <c r="B9" s="3">
        <v>20</v>
      </c>
      <c r="C9" s="3" t="s">
        <v>23</v>
      </c>
      <c r="D9" s="3"/>
    </row>
    <row r="10" spans="1:7">
      <c r="A10" s="1" t="s">
        <v>24</v>
      </c>
      <c r="B10" s="3">
        <v>0.96499999999999997</v>
      </c>
      <c r="C10" s="3" t="s">
        <v>25</v>
      </c>
      <c r="D10" s="3"/>
    </row>
    <row r="11" spans="1:7">
      <c r="A11" t="s">
        <v>62</v>
      </c>
      <c r="B11" s="3"/>
      <c r="C11" s="3"/>
      <c r="D11" s="3"/>
    </row>
    <row r="12" spans="1:7">
      <c r="A12" s="1" t="s">
        <v>59</v>
      </c>
      <c r="B12" s="3">
        <v>323</v>
      </c>
      <c r="C12" s="3" t="s">
        <v>30</v>
      </c>
      <c r="D12" s="3"/>
    </row>
    <row r="13" spans="1:7">
      <c r="A13" s="1" t="s">
        <v>60</v>
      </c>
      <c r="B13" s="3">
        <v>385.5</v>
      </c>
      <c r="C13" s="3" t="s">
        <v>35</v>
      </c>
      <c r="D13" s="3"/>
    </row>
    <row r="14" spans="1:7">
      <c r="A14" s="1" t="s">
        <v>61</v>
      </c>
      <c r="B14" s="3">
        <v>1.79</v>
      </c>
      <c r="C14" s="3" t="s">
        <v>35</v>
      </c>
      <c r="D14" s="3"/>
    </row>
    <row r="15" spans="1:7">
      <c r="A15" s="1" t="s">
        <v>56</v>
      </c>
      <c r="B15" s="3"/>
      <c r="C15" s="3"/>
      <c r="D15" s="3"/>
    </row>
    <row r="16" spans="1:7">
      <c r="A16" s="1" t="s">
        <v>59</v>
      </c>
      <c r="B16" s="3">
        <v>4.4000000000000004</v>
      </c>
      <c r="C16" s="3" t="s">
        <v>48</v>
      </c>
      <c r="D16" s="3"/>
    </row>
    <row r="17" spans="1:9">
      <c r="A17" s="1" t="s">
        <v>60</v>
      </c>
      <c r="B17" s="3">
        <v>0.14000000000000001</v>
      </c>
      <c r="C17" s="3" t="s">
        <v>48</v>
      </c>
    </row>
    <row r="18" spans="1:9">
      <c r="A18" s="1" t="s">
        <v>61</v>
      </c>
      <c r="B18" s="3">
        <v>6.9</v>
      </c>
      <c r="C18" s="3" t="s">
        <v>48</v>
      </c>
    </row>
    <row r="20" spans="1:9">
      <c r="A20" t="s">
        <v>44</v>
      </c>
      <c r="H20" s="2"/>
      <c r="I20" s="1"/>
    </row>
    <row r="21" spans="1:9">
      <c r="A21" t="s">
        <v>47</v>
      </c>
      <c r="I21" s="1"/>
    </row>
    <row r="22" spans="1:9" ht="15.75" thickBot="1"/>
    <row r="23" spans="1:9">
      <c r="A23" s="6"/>
      <c r="B23" s="6"/>
      <c r="C23" s="6"/>
      <c r="D23" s="6" t="str">
        <f>'N2O calcs'!D17</f>
        <v>RESULTS</v>
      </c>
      <c r="E23" s="6"/>
      <c r="F23" s="6"/>
      <c r="G23" s="6"/>
      <c r="H23" s="7"/>
    </row>
    <row r="24" spans="1:9">
      <c r="A24" s="8" t="s">
        <v>59</v>
      </c>
      <c r="B24" s="19" t="str">
        <f>'N2O calcs'!B18</f>
        <v>LR</v>
      </c>
      <c r="C24" s="19" t="str">
        <f>'N2O calcs'!C18</f>
        <v>Quad</v>
      </c>
      <c r="D24" s="19" t="str">
        <f>'N2O calcs'!D18</f>
        <v>rQuad</v>
      </c>
      <c r="E24" s="19" t="str">
        <f>'N2O calcs'!E18</f>
        <v>H/M</v>
      </c>
      <c r="F24" s="19" t="str">
        <f>'N2O calcs'!F18</f>
        <v>rH/M</v>
      </c>
      <c r="G24" s="19" t="str">
        <f>'N2O calcs'!G18</f>
        <v>HMR*</v>
      </c>
      <c r="H24" s="20" t="str">
        <f>'N2O calcs'!H18</f>
        <v>units</v>
      </c>
    </row>
    <row r="25" spans="1:9">
      <c r="A25" s="8" t="str">
        <f>'N2O calcs'!A19</f>
        <v>positive flux dl</v>
      </c>
      <c r="B25" s="21">
        <f>'N2O calcs'!B19</f>
        <v>8.3239082187066042</v>
      </c>
      <c r="C25" s="21">
        <f>'N2O calcs'!C19</f>
        <v>35.974448618640459</v>
      </c>
      <c r="D25" s="21">
        <f>'N2O calcs'!D19</f>
        <v>25.412773281947029</v>
      </c>
      <c r="E25" s="21">
        <f>'N2O calcs'!E19</f>
        <v>33.377362833413095</v>
      </c>
      <c r="F25" s="21">
        <f>'N2O calcs'!F19</f>
        <v>30.056194987173424</v>
      </c>
      <c r="G25" s="21" t="e">
        <f>'N2O calcs'!G19</f>
        <v>#VALUE!</v>
      </c>
      <c r="H25" s="20" t="str">
        <f>'N2O calcs'!H19</f>
        <v>ug N/m2/h</v>
      </c>
    </row>
    <row r="26" spans="1:9" ht="15.75" thickBot="1">
      <c r="A26" s="11" t="str">
        <f>'N2O calcs'!A20</f>
        <v>negative flux dl</v>
      </c>
      <c r="B26" s="22">
        <f>'N2O calcs'!B20</f>
        <v>-8.3239082187066042</v>
      </c>
      <c r="C26" s="22">
        <f>'N2O calcs'!C20</f>
        <v>-35.974448618640459</v>
      </c>
      <c r="D26" s="22">
        <f>'N2O calcs'!D20</f>
        <v>-25.412773281947029</v>
      </c>
      <c r="E26" s="22">
        <f>'N2O calcs'!E20</f>
        <v>-33.377362833413095</v>
      </c>
      <c r="F26" s="22">
        <f>'N2O calcs'!F20</f>
        <v>-30.056194987173424</v>
      </c>
      <c r="G26" s="22" t="e">
        <f>'N2O calcs'!G20</f>
        <v>#VALUE!</v>
      </c>
      <c r="H26" s="23" t="str">
        <f>'N2O calcs'!H20</f>
        <v>ug N/m2/h</v>
      </c>
    </row>
    <row r="27" spans="1:9">
      <c r="A27" s="18" t="s">
        <v>60</v>
      </c>
      <c r="B27" s="21"/>
      <c r="C27" s="21"/>
      <c r="D27" s="21"/>
      <c r="E27" s="21"/>
      <c r="F27" s="21"/>
      <c r="G27" s="21"/>
      <c r="H27" s="20"/>
    </row>
    <row r="28" spans="1:9">
      <c r="A28" s="18" t="str">
        <f>'CO2 calcs'!A19</f>
        <v>positive flux dl</v>
      </c>
      <c r="B28" s="21">
        <f>'CO2 calcs'!B19</f>
        <v>135.47143055072041</v>
      </c>
      <c r="C28" s="21">
        <f>'CO2 calcs'!C19</f>
        <v>585.48339188654234</v>
      </c>
      <c r="D28" s="21">
        <f>'CO2 calcs'!D19</f>
        <v>413.59234872743798</v>
      </c>
      <c r="E28" s="21">
        <f>'CO2 calcs'!E19</f>
        <v>543.21587555364829</v>
      </c>
      <c r="F28" s="21">
        <f>'CO2 calcs'!F19</f>
        <v>489.16393896237076</v>
      </c>
      <c r="G28" s="21" t="e">
        <f>'CO2 calcs'!G19</f>
        <v>#VALUE!</v>
      </c>
      <c r="H28" s="20" t="str">
        <f>'CO2 calcs'!H19</f>
        <v>ug CO2-C/m2/h</v>
      </c>
    </row>
    <row r="29" spans="1:9" ht="15.75" thickBot="1">
      <c r="A29" s="11" t="str">
        <f>'CO2 calcs'!A20</f>
        <v>negative flux dl</v>
      </c>
      <c r="B29" s="22">
        <f>'CO2 calcs'!B20</f>
        <v>-135.47143055072041</v>
      </c>
      <c r="C29" s="22">
        <f>'CO2 calcs'!C20</f>
        <v>-585.48339188654234</v>
      </c>
      <c r="D29" s="22">
        <f>'CO2 calcs'!D20</f>
        <v>-413.59234872743798</v>
      </c>
      <c r="E29" s="22">
        <f>'CO2 calcs'!E20</f>
        <v>-543.21587555364829</v>
      </c>
      <c r="F29" s="22">
        <f>'CO2 calcs'!F20</f>
        <v>-489.16393896237076</v>
      </c>
      <c r="G29" s="22" t="e">
        <f>'CO2 calcs'!G20</f>
        <v>#VALUE!</v>
      </c>
      <c r="H29" s="23" t="str">
        <f>'CO2 calcs'!H20</f>
        <v>ug CO2-C/m2/h</v>
      </c>
    </row>
    <row r="30" spans="1:9">
      <c r="A30" s="18" t="s">
        <v>61</v>
      </c>
      <c r="B30" s="21"/>
      <c r="C30" s="21"/>
      <c r="D30" s="21"/>
      <c r="E30" s="21"/>
      <c r="F30" s="21"/>
      <c r="G30" s="21"/>
      <c r="H30" s="20"/>
    </row>
    <row r="31" spans="1:9">
      <c r="A31" s="18" t="str">
        <f>'CH4 calcs'!A19</f>
        <v>positive flux dl</v>
      </c>
      <c r="B31" s="21">
        <f>'CH4 calcs'!B19</f>
        <v>31.002550282229898</v>
      </c>
      <c r="C31" s="21">
        <f>'CH4 calcs'!C19</f>
        <v>133.9874999664755</v>
      </c>
      <c r="D31" s="21">
        <f>'CH4 calcs'!D19</f>
        <v>94.650344619836687</v>
      </c>
      <c r="E31" s="21">
        <f>'CH4 calcs'!E19</f>
        <v>124.31460587294998</v>
      </c>
      <c r="F31" s="21">
        <f>'CH4 calcs'!F19</f>
        <v>111.94485473641362</v>
      </c>
      <c r="G31" s="21" t="e">
        <f>'CH4 calcs'!G19</f>
        <v>#VALUE!</v>
      </c>
      <c r="H31" s="20" t="str">
        <f>'CH4 calcs'!H19</f>
        <v>ug CH4-C/m2/h</v>
      </c>
    </row>
    <row r="32" spans="1:9" ht="15.75" thickBot="1">
      <c r="A32" s="11" t="str">
        <f>'CH4 calcs'!A20</f>
        <v>negative flux dl</v>
      </c>
      <c r="B32" s="22">
        <f>'CH4 calcs'!B20</f>
        <v>-31.002550282229898</v>
      </c>
      <c r="C32" s="22">
        <f>'CH4 calcs'!C20</f>
        <v>-133.9874999664755</v>
      </c>
      <c r="D32" s="22">
        <f>'CH4 calcs'!D20</f>
        <v>-94.650344619836687</v>
      </c>
      <c r="E32" s="22">
        <f>'CH4 calcs'!E20</f>
        <v>-124.31460587294998</v>
      </c>
      <c r="F32" s="22">
        <f>'CH4 calcs'!F20</f>
        <v>-111.94485473641362</v>
      </c>
      <c r="G32" s="22" t="e">
        <f>'CH4 calcs'!G20</f>
        <v>#VALUE!</v>
      </c>
      <c r="H32" s="23" t="str">
        <f>'CH4 calcs'!H20</f>
        <v>ug CH4-C/m2/h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B7" sqref="B7"/>
    </sheetView>
  </sheetViews>
  <sheetFormatPr defaultRowHeight="15"/>
  <cols>
    <col min="1" max="1" width="31.5703125" bestFit="1" customWidth="1"/>
    <col min="2" max="3" width="17.28515625" customWidth="1"/>
    <col min="4" max="6" width="12.42578125" customWidth="1"/>
    <col min="7" max="7" width="9.5703125" bestFit="1" customWidth="1"/>
    <col min="8" max="8" width="11.140625" bestFit="1" customWidth="1"/>
  </cols>
  <sheetData>
    <row r="1" spans="1:15">
      <c r="A1" t="s">
        <v>45</v>
      </c>
      <c r="B1" s="17">
        <f>'Input and results'!B5</f>
        <v>3</v>
      </c>
      <c r="C1" s="17"/>
      <c r="I1" t="s">
        <v>18</v>
      </c>
      <c r="J1" t="s">
        <v>0</v>
      </c>
      <c r="K1" t="s">
        <v>54</v>
      </c>
      <c r="L1" t="s">
        <v>55</v>
      </c>
      <c r="M1" t="s">
        <v>53</v>
      </c>
      <c r="N1" t="s">
        <v>52</v>
      </c>
      <c r="O1" t="s">
        <v>43</v>
      </c>
    </row>
    <row r="2" spans="1:15">
      <c r="A2" t="s">
        <v>9</v>
      </c>
      <c r="B2" s="17">
        <f>'Input and results'!B6</f>
        <v>0.66700000000000004</v>
      </c>
      <c r="C2" s="17"/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</row>
    <row r="3" spans="1:15">
      <c r="A3" s="1" t="s">
        <v>16</v>
      </c>
      <c r="B3" s="17">
        <f>'Input and results'!B7</f>
        <v>10.602875205865551</v>
      </c>
      <c r="C3" s="17"/>
      <c r="I3" t="s">
        <v>19</v>
      </c>
      <c r="J3">
        <v>2.3140000000000001</v>
      </c>
      <c r="K3">
        <v>10.06</v>
      </c>
      <c r="L3">
        <v>7.0949999999999998</v>
      </c>
      <c r="M3">
        <v>9.2899999999999991</v>
      </c>
      <c r="N3">
        <v>8.3689999999999998</v>
      </c>
      <c r="O3" t="s">
        <v>21</v>
      </c>
    </row>
    <row r="4" spans="1:15">
      <c r="A4" s="1" t="s">
        <v>17</v>
      </c>
      <c r="B4" s="17">
        <f>'Input and results'!B8</f>
        <v>7.0685834705770348E-2</v>
      </c>
      <c r="C4" s="17"/>
      <c r="I4" t="s">
        <v>20</v>
      </c>
      <c r="J4">
        <v>2.2109999999999999</v>
      </c>
      <c r="K4">
        <v>7.617</v>
      </c>
      <c r="L4">
        <v>8.8439999999999994</v>
      </c>
      <c r="M4">
        <v>6.0579999999999998</v>
      </c>
      <c r="N4">
        <v>9.2309999999999999</v>
      </c>
      <c r="O4">
        <v>13.2</v>
      </c>
    </row>
    <row r="5" spans="1:15">
      <c r="A5" s="1" t="s">
        <v>22</v>
      </c>
      <c r="B5" s="17">
        <f>'Input and results'!B9</f>
        <v>20</v>
      </c>
      <c r="C5" s="17"/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1:15">
      <c r="A6" s="1" t="s">
        <v>24</v>
      </c>
      <c r="B6" s="17">
        <f>'Input and results'!B10</f>
        <v>0.96499999999999997</v>
      </c>
      <c r="C6" s="17"/>
      <c r="I6" t="s">
        <v>19</v>
      </c>
      <c r="J6">
        <v>1.0049999999999999</v>
      </c>
      <c r="K6">
        <v>0.99039999999999995</v>
      </c>
      <c r="L6">
        <v>0.99439999999999995</v>
      </c>
      <c r="M6">
        <v>1.002</v>
      </c>
      <c r="N6">
        <v>1.0009999999999999</v>
      </c>
      <c r="O6" t="s">
        <v>21</v>
      </c>
    </row>
    <row r="7" spans="1:15">
      <c r="A7" t="s">
        <v>51</v>
      </c>
      <c r="B7" s="17">
        <f>'Input and results'!$B$12</f>
        <v>323</v>
      </c>
      <c r="C7" s="17"/>
      <c r="I7" t="s">
        <v>20</v>
      </c>
      <c r="J7">
        <v>0.99750000000000005</v>
      </c>
      <c r="K7">
        <v>1.004</v>
      </c>
      <c r="L7">
        <v>0.99660000000000004</v>
      </c>
      <c r="M7">
        <v>1.0349999999999999</v>
      </c>
      <c r="N7">
        <v>0.98199999999999998</v>
      </c>
      <c r="O7">
        <v>0.99729999999999996</v>
      </c>
    </row>
    <row r="8" spans="1:15">
      <c r="A8" s="1" t="s">
        <v>46</v>
      </c>
      <c r="B8" s="17">
        <f>'Input and results'!$B$16</f>
        <v>4.4000000000000004</v>
      </c>
      <c r="C8" s="17"/>
    </row>
    <row r="9" spans="1:15">
      <c r="B9" t="s">
        <v>0</v>
      </c>
      <c r="C9" t="s">
        <v>54</v>
      </c>
      <c r="D9" t="s">
        <v>55</v>
      </c>
      <c r="E9" t="s">
        <v>53</v>
      </c>
      <c r="F9" t="s">
        <v>52</v>
      </c>
      <c r="G9" t="s">
        <v>43</v>
      </c>
      <c r="H9" t="s">
        <v>3</v>
      </c>
    </row>
    <row r="10" spans="1:15">
      <c r="A10" t="s">
        <v>7</v>
      </c>
      <c r="B10">
        <f t="shared" ref="B10:G10" si="0">IF($B$1=4,J4,IF($B$1=3,J3,"error"))</f>
        <v>2.3140000000000001</v>
      </c>
      <c r="C10">
        <f t="shared" si="0"/>
        <v>10.06</v>
      </c>
      <c r="D10">
        <f t="shared" si="0"/>
        <v>7.0949999999999998</v>
      </c>
      <c r="E10">
        <f t="shared" si="0"/>
        <v>9.2899999999999991</v>
      </c>
      <c r="F10">
        <f t="shared" si="0"/>
        <v>8.3689999999999998</v>
      </c>
      <c r="G10" t="str">
        <f t="shared" si="0"/>
        <v>error</v>
      </c>
      <c r="H10" t="s">
        <v>11</v>
      </c>
    </row>
    <row r="11" spans="1:15">
      <c r="A11" t="s">
        <v>8</v>
      </c>
      <c r="B11">
        <f t="shared" ref="B11:G11" si="1">IF($B$1=4,J7,IF($B$1=3,J6,"error"))</f>
        <v>1.0049999999999999</v>
      </c>
      <c r="C11">
        <f t="shared" si="1"/>
        <v>0.99039999999999995</v>
      </c>
      <c r="D11">
        <f t="shared" si="1"/>
        <v>0.99439999999999995</v>
      </c>
      <c r="E11">
        <f t="shared" si="1"/>
        <v>1.002</v>
      </c>
      <c r="F11">
        <f t="shared" si="1"/>
        <v>1.0009999999999999</v>
      </c>
      <c r="G11" t="str">
        <f t="shared" si="1"/>
        <v>error</v>
      </c>
      <c r="H11" s="2" t="s">
        <v>12</v>
      </c>
    </row>
    <row r="12" spans="1:15">
      <c r="A12" t="s">
        <v>6</v>
      </c>
      <c r="B12">
        <f>B10*$B$2^-B11</f>
        <v>3.4762971432660548</v>
      </c>
      <c r="C12">
        <f t="shared" ref="C12:G12" si="2">C10*$B$2^-C11</f>
        <v>15.02393703507019</v>
      </c>
      <c r="D12">
        <f t="shared" si="2"/>
        <v>10.61308568539542</v>
      </c>
      <c r="E12">
        <f t="shared" si="2"/>
        <v>13.939321292225584</v>
      </c>
      <c r="F12">
        <f t="shared" si="2"/>
        <v>12.552308606256302</v>
      </c>
      <c r="G12" t="e">
        <f t="shared" si="2"/>
        <v>#VALUE!</v>
      </c>
      <c r="H12" s="2" t="s">
        <v>4</v>
      </c>
    </row>
    <row r="13" spans="1:15">
      <c r="A13" t="s">
        <v>5</v>
      </c>
      <c r="B13">
        <f t="shared" ref="B13:G13" si="3">B12*$B$7</f>
        <v>1122.8439772749357</v>
      </c>
      <c r="C13">
        <f t="shared" si="3"/>
        <v>4852.7316623276711</v>
      </c>
      <c r="D13">
        <f t="shared" si="3"/>
        <v>3428.0266763827208</v>
      </c>
      <c r="E13">
        <f t="shared" si="3"/>
        <v>4502.4007773888634</v>
      </c>
      <c r="F13">
        <f t="shared" si="3"/>
        <v>4054.3956798207855</v>
      </c>
      <c r="G13" t="e">
        <f t="shared" si="3"/>
        <v>#VALUE!</v>
      </c>
      <c r="H13" t="s">
        <v>31</v>
      </c>
    </row>
    <row r="14" spans="1:15">
      <c r="A14" s="1" t="s">
        <v>13</v>
      </c>
      <c r="B14">
        <f t="shared" ref="B14:G14" si="4">B13*$B$8/100</f>
        <v>49.405135000097168</v>
      </c>
      <c r="C14">
        <f t="shared" si="4"/>
        <v>213.52019314241755</v>
      </c>
      <c r="D14">
        <f t="shared" si="4"/>
        <v>150.83317376083971</v>
      </c>
      <c r="E14">
        <f t="shared" si="4"/>
        <v>198.10563420510999</v>
      </c>
      <c r="F14">
        <f t="shared" si="4"/>
        <v>178.39340991211458</v>
      </c>
      <c r="G14" t="e">
        <f t="shared" si="4"/>
        <v>#VALUE!</v>
      </c>
      <c r="H14" t="s">
        <v>32</v>
      </c>
    </row>
    <row r="15" spans="1:15">
      <c r="A15" s="1" t="s">
        <v>13</v>
      </c>
      <c r="B15">
        <f t="shared" ref="B15:G15" si="5">B14*$B$3/$B$4</f>
        <v>7410.7702500145742</v>
      </c>
      <c r="C15">
        <f t="shared" si="5"/>
        <v>32028.02897136263</v>
      </c>
      <c r="D15">
        <f t="shared" si="5"/>
        <v>22624.976064125956</v>
      </c>
      <c r="E15">
        <f t="shared" si="5"/>
        <v>29715.845130766495</v>
      </c>
      <c r="F15">
        <f t="shared" si="5"/>
        <v>26759.011486817184</v>
      </c>
      <c r="G15" t="e">
        <f t="shared" si="5"/>
        <v>#VALUE!</v>
      </c>
      <c r="H15" t="s">
        <v>34</v>
      </c>
    </row>
    <row r="16" spans="1:15" ht="15.75" thickBot="1">
      <c r="A16" s="1" t="s">
        <v>13</v>
      </c>
      <c r="B16">
        <f>B15*$B$6/0.08206/(273.15+$B$5)</f>
        <v>297.28243638237876</v>
      </c>
      <c r="C16">
        <f>C15*$B$6/0.08206/(273.15+$B$5)</f>
        <v>1284.8017363800166</v>
      </c>
      <c r="D16">
        <f>D15*$B$6/0.08206/(273.15+$B$5)</f>
        <v>907.59904578382248</v>
      </c>
      <c r="E16">
        <f>E15*$B$6/0.08206/(273.15+$B$5)</f>
        <v>1192.048672621896</v>
      </c>
      <c r="F16">
        <f>F15*$B$6/0.08206/(273.15+$B$5)</f>
        <v>1073.4355352561938</v>
      </c>
      <c r="G16" t="e">
        <f>G15*$B$6/0.08206/(273.15+$B$5)</f>
        <v>#VALUE!</v>
      </c>
      <c r="H16" t="s">
        <v>26</v>
      </c>
    </row>
    <row r="17" spans="1:8">
      <c r="A17" s="5"/>
      <c r="B17" s="6"/>
      <c r="C17" s="6"/>
      <c r="D17" s="6" t="s">
        <v>28</v>
      </c>
      <c r="E17" s="6"/>
      <c r="F17" s="6"/>
      <c r="G17" s="6"/>
      <c r="H17" s="7"/>
    </row>
    <row r="18" spans="1:8">
      <c r="A18" s="8"/>
      <c r="B18" s="9" t="s">
        <v>0</v>
      </c>
      <c r="C18" s="9" t="s">
        <v>54</v>
      </c>
      <c r="D18" s="9" t="s">
        <v>55</v>
      </c>
      <c r="E18" s="9" t="s">
        <v>53</v>
      </c>
      <c r="F18" s="9" t="s">
        <v>52</v>
      </c>
      <c r="G18" s="9" t="s">
        <v>43</v>
      </c>
      <c r="H18" s="10" t="s">
        <v>3</v>
      </c>
    </row>
    <row r="19" spans="1:8">
      <c r="A19" s="8" t="s">
        <v>13</v>
      </c>
      <c r="B19" s="14">
        <f t="shared" ref="B19:G19" si="6">B16*28/1000</f>
        <v>8.3239082187066042</v>
      </c>
      <c r="C19" s="14">
        <f t="shared" si="6"/>
        <v>35.974448618640459</v>
      </c>
      <c r="D19" s="14">
        <f t="shared" si="6"/>
        <v>25.412773281947029</v>
      </c>
      <c r="E19" s="14">
        <f t="shared" si="6"/>
        <v>33.377362833413095</v>
      </c>
      <c r="F19" s="14">
        <f t="shared" si="6"/>
        <v>30.056194987173424</v>
      </c>
      <c r="G19" s="14" t="e">
        <f t="shared" si="6"/>
        <v>#VALUE!</v>
      </c>
      <c r="H19" s="10" t="s">
        <v>27</v>
      </c>
    </row>
    <row r="20" spans="1:8" ht="15.75" thickBot="1">
      <c r="A20" s="11" t="s">
        <v>14</v>
      </c>
      <c r="B20" s="15">
        <f t="shared" ref="B20:G20" si="7">B19*-1</f>
        <v>-8.3239082187066042</v>
      </c>
      <c r="C20" s="15">
        <f t="shared" si="7"/>
        <v>-35.974448618640459</v>
      </c>
      <c r="D20" s="15">
        <f t="shared" si="7"/>
        <v>-25.412773281947029</v>
      </c>
      <c r="E20" s="15">
        <f t="shared" si="7"/>
        <v>-33.377362833413095</v>
      </c>
      <c r="F20" s="15">
        <f t="shared" si="7"/>
        <v>-30.056194987173424</v>
      </c>
      <c r="G20" s="15" t="e">
        <f t="shared" si="7"/>
        <v>#VALUE!</v>
      </c>
      <c r="H20" s="12" t="s">
        <v>27</v>
      </c>
    </row>
    <row r="23" spans="1:8">
      <c r="H23" s="2"/>
    </row>
    <row r="25" spans="1:8">
      <c r="A25" s="1"/>
      <c r="H25" s="2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  <c r="D32" s="1"/>
      <c r="E32" s="1"/>
      <c r="F32" s="1"/>
      <c r="G32" s="1"/>
    </row>
  </sheetData>
  <sheetProtection password="D8F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A8" sqref="A8"/>
    </sheetView>
  </sheetViews>
  <sheetFormatPr defaultRowHeight="15"/>
  <cols>
    <col min="1" max="1" width="31.5703125" bestFit="1" customWidth="1"/>
    <col min="2" max="3" width="17.28515625" customWidth="1"/>
    <col min="4" max="6" width="12.42578125" customWidth="1"/>
    <col min="7" max="7" width="9.5703125" bestFit="1" customWidth="1"/>
    <col min="8" max="8" width="14.7109375" bestFit="1" customWidth="1"/>
  </cols>
  <sheetData>
    <row r="1" spans="1:15">
      <c r="A1" t="s">
        <v>45</v>
      </c>
      <c r="B1" s="17">
        <f>'Input and results'!B5</f>
        <v>3</v>
      </c>
      <c r="C1" s="17"/>
      <c r="I1" t="s">
        <v>18</v>
      </c>
      <c r="J1" t="s">
        <v>0</v>
      </c>
      <c r="K1" t="s">
        <v>54</v>
      </c>
      <c r="L1" t="s">
        <v>55</v>
      </c>
      <c r="M1" t="s">
        <v>53</v>
      </c>
      <c r="N1" t="s">
        <v>52</v>
      </c>
      <c r="O1" t="s">
        <v>43</v>
      </c>
    </row>
    <row r="2" spans="1:15">
      <c r="A2" t="s">
        <v>9</v>
      </c>
      <c r="B2" s="17">
        <f>'Input and results'!B6</f>
        <v>0.66700000000000004</v>
      </c>
      <c r="C2" s="17"/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</row>
    <row r="3" spans="1:15">
      <c r="A3" s="1" t="s">
        <v>16</v>
      </c>
      <c r="B3" s="17">
        <f>'Input and results'!B7</f>
        <v>10.602875205865551</v>
      </c>
      <c r="C3" s="17"/>
      <c r="I3" t="s">
        <v>19</v>
      </c>
      <c r="J3">
        <v>2.3140000000000001</v>
      </c>
      <c r="K3">
        <v>10.06</v>
      </c>
      <c r="L3">
        <v>7.0949999999999998</v>
      </c>
      <c r="M3">
        <v>9.2899999999999991</v>
      </c>
      <c r="N3">
        <v>8.3689999999999998</v>
      </c>
      <c r="O3" t="s">
        <v>21</v>
      </c>
    </row>
    <row r="4" spans="1:15">
      <c r="A4" s="1" t="s">
        <v>17</v>
      </c>
      <c r="B4" s="17">
        <f>'Input and results'!B8</f>
        <v>7.0685834705770348E-2</v>
      </c>
      <c r="C4" s="17"/>
      <c r="I4" t="s">
        <v>20</v>
      </c>
      <c r="J4">
        <v>2.2109999999999999</v>
      </c>
      <c r="K4">
        <v>7.617</v>
      </c>
      <c r="L4">
        <v>8.8439999999999994</v>
      </c>
      <c r="M4">
        <v>6.0579999999999998</v>
      </c>
      <c r="N4">
        <v>9.2309999999999999</v>
      </c>
      <c r="O4">
        <v>13.2</v>
      </c>
    </row>
    <row r="5" spans="1:15">
      <c r="A5" s="1" t="s">
        <v>22</v>
      </c>
      <c r="B5" s="17">
        <f>'Input and results'!B9</f>
        <v>20</v>
      </c>
      <c r="C5" s="17"/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1:15">
      <c r="A6" s="1" t="s">
        <v>24</v>
      </c>
      <c r="B6" s="17">
        <f>'Input and results'!B10</f>
        <v>0.96499999999999997</v>
      </c>
      <c r="C6" s="17"/>
      <c r="I6" t="s">
        <v>19</v>
      </c>
      <c r="J6">
        <v>1.0049999999999999</v>
      </c>
      <c r="K6">
        <v>0.99039999999999995</v>
      </c>
      <c r="L6">
        <v>0.99439999999999995</v>
      </c>
      <c r="M6">
        <v>1.002</v>
      </c>
      <c r="N6">
        <v>1.0009999999999999</v>
      </c>
      <c r="O6" t="s">
        <v>21</v>
      </c>
    </row>
    <row r="7" spans="1:15">
      <c r="A7" t="s">
        <v>50</v>
      </c>
      <c r="B7" s="17">
        <f>'Input and results'!$B$13</f>
        <v>385.5</v>
      </c>
      <c r="C7" s="17"/>
      <c r="I7" t="s">
        <v>20</v>
      </c>
      <c r="J7">
        <v>0.99750000000000005</v>
      </c>
      <c r="K7">
        <v>1.004</v>
      </c>
      <c r="L7">
        <v>0.99660000000000004</v>
      </c>
      <c r="M7">
        <v>1.0349999999999999</v>
      </c>
      <c r="N7">
        <v>0.98199999999999998</v>
      </c>
      <c r="O7">
        <v>0.99729999999999996</v>
      </c>
    </row>
    <row r="8" spans="1:15">
      <c r="A8" s="16" t="s">
        <v>46</v>
      </c>
      <c r="B8" s="17">
        <f>'Input and results'!$B$17</f>
        <v>0.14000000000000001</v>
      </c>
      <c r="C8" s="17"/>
    </row>
    <row r="9" spans="1:15">
      <c r="B9" t="s">
        <v>0</v>
      </c>
      <c r="C9" t="s">
        <v>54</v>
      </c>
      <c r="D9" t="s">
        <v>55</v>
      </c>
      <c r="E9" t="s">
        <v>53</v>
      </c>
      <c r="F9" t="s">
        <v>52</v>
      </c>
      <c r="G9" t="s">
        <v>43</v>
      </c>
      <c r="H9" t="s">
        <v>3</v>
      </c>
    </row>
    <row r="10" spans="1:15">
      <c r="A10" t="s">
        <v>7</v>
      </c>
      <c r="B10">
        <f t="shared" ref="B10:G10" si="0">IF($B$1=4,J4,IF($B$1=3,J3,"error"))</f>
        <v>2.3140000000000001</v>
      </c>
      <c r="C10">
        <f t="shared" si="0"/>
        <v>10.06</v>
      </c>
      <c r="D10">
        <f t="shared" si="0"/>
        <v>7.0949999999999998</v>
      </c>
      <c r="E10">
        <f t="shared" si="0"/>
        <v>9.2899999999999991</v>
      </c>
      <c r="F10">
        <f t="shared" si="0"/>
        <v>8.3689999999999998</v>
      </c>
      <c r="G10" t="str">
        <f t="shared" si="0"/>
        <v>error</v>
      </c>
      <c r="H10" t="s">
        <v>11</v>
      </c>
    </row>
    <row r="11" spans="1:15">
      <c r="A11" t="s">
        <v>8</v>
      </c>
      <c r="B11">
        <f t="shared" ref="B11:G11" si="1">IF($B$1=4,J7,IF($B$1=3,J6,"error"))</f>
        <v>1.0049999999999999</v>
      </c>
      <c r="C11">
        <f t="shared" si="1"/>
        <v>0.99039999999999995</v>
      </c>
      <c r="D11">
        <f t="shared" si="1"/>
        <v>0.99439999999999995</v>
      </c>
      <c r="E11">
        <f t="shared" si="1"/>
        <v>1.002</v>
      </c>
      <c r="F11">
        <f t="shared" si="1"/>
        <v>1.0009999999999999</v>
      </c>
      <c r="G11" t="str">
        <f t="shared" si="1"/>
        <v>error</v>
      </c>
      <c r="H11" s="2" t="s">
        <v>12</v>
      </c>
    </row>
    <row r="12" spans="1:15">
      <c r="A12" t="s">
        <v>6</v>
      </c>
      <c r="B12">
        <f t="shared" ref="B12:G12" si="2">B10*$B$2^-B11</f>
        <v>3.4762971432660548</v>
      </c>
      <c r="C12">
        <f t="shared" si="2"/>
        <v>15.02393703507019</v>
      </c>
      <c r="D12">
        <f t="shared" si="2"/>
        <v>10.61308568539542</v>
      </c>
      <c r="E12">
        <f t="shared" si="2"/>
        <v>13.939321292225584</v>
      </c>
      <c r="F12">
        <f t="shared" si="2"/>
        <v>12.552308606256302</v>
      </c>
      <c r="G12" t="e">
        <f t="shared" si="2"/>
        <v>#VALUE!</v>
      </c>
      <c r="H12" s="2" t="s">
        <v>4</v>
      </c>
    </row>
    <row r="13" spans="1:15">
      <c r="A13" t="s">
        <v>5</v>
      </c>
      <c r="B13">
        <f t="shared" ref="B13:G13" si="3">B12*$B$7</f>
        <v>1340.1125487290642</v>
      </c>
      <c r="C13">
        <f t="shared" si="3"/>
        <v>5791.7277270195582</v>
      </c>
      <c r="D13">
        <f t="shared" si="3"/>
        <v>4091.3445317199344</v>
      </c>
      <c r="E13">
        <f t="shared" si="3"/>
        <v>5373.6083581529629</v>
      </c>
      <c r="F13">
        <f t="shared" si="3"/>
        <v>4838.9149677118048</v>
      </c>
      <c r="G13" t="e">
        <f t="shared" si="3"/>
        <v>#VALUE!</v>
      </c>
      <c r="H13" t="s">
        <v>36</v>
      </c>
    </row>
    <row r="14" spans="1:15">
      <c r="A14" s="1" t="s">
        <v>13</v>
      </c>
      <c r="B14">
        <f t="shared" ref="B14:G14" si="4">B13*$B$8/100</f>
        <v>1.8761575682206901</v>
      </c>
      <c r="C14">
        <f t="shared" si="4"/>
        <v>8.1084188178273831</v>
      </c>
      <c r="D14">
        <f>D13*$B$8/100</f>
        <v>5.7278823444079094</v>
      </c>
      <c r="E14">
        <f t="shared" si="4"/>
        <v>7.5230517014141496</v>
      </c>
      <c r="F14">
        <f t="shared" si="4"/>
        <v>6.7744809547965268</v>
      </c>
      <c r="G14" t="e">
        <f t="shared" si="4"/>
        <v>#VALUE!</v>
      </c>
      <c r="H14" t="s">
        <v>37</v>
      </c>
    </row>
    <row r="15" spans="1:15">
      <c r="A15" s="1" t="s">
        <v>13</v>
      </c>
      <c r="B15">
        <f t="shared" ref="B15:G15" si="5">B14*$B$3/$B$4</f>
        <v>281.42363523310348</v>
      </c>
      <c r="C15">
        <f t="shared" si="5"/>
        <v>1216.2628226741074</v>
      </c>
      <c r="D15">
        <f>D14*$B$3/$B$4</f>
        <v>859.18235166118632</v>
      </c>
      <c r="E15">
        <f t="shared" si="5"/>
        <v>1128.4577552121223</v>
      </c>
      <c r="F15">
        <f t="shared" si="5"/>
        <v>1016.1721432194789</v>
      </c>
      <c r="G15" t="e">
        <f t="shared" si="5"/>
        <v>#VALUE!</v>
      </c>
      <c r="H15" t="s">
        <v>38</v>
      </c>
    </row>
    <row r="16" spans="1:15" ht="15.75" thickBot="1">
      <c r="A16" s="1" t="s">
        <v>13</v>
      </c>
      <c r="B16">
        <f>B15*$B$6/0.08206/(273.15+$B$5)</f>
        <v>11.2892858792267</v>
      </c>
      <c r="C16">
        <f>C15*$B$6/0.08206/(273.15+$B$5)</f>
        <v>48.790282657211861</v>
      </c>
      <c r="D16">
        <f>D15*$B$6/0.08206/(273.15+$B$5)</f>
        <v>34.466029060619832</v>
      </c>
      <c r="E16">
        <f>E15*$B$6/0.08206/(273.15+$B$5)</f>
        <v>45.267989629470691</v>
      </c>
      <c r="F16">
        <f>F15*$B$6/0.08206/(273.15+$B$5)</f>
        <v>40.763661580197564</v>
      </c>
      <c r="G16" t="e">
        <f>G15*$B$6/0.08206/(273.15+$B$5)</f>
        <v>#VALUE!</v>
      </c>
      <c r="H16" t="s">
        <v>39</v>
      </c>
    </row>
    <row r="17" spans="1:8">
      <c r="A17" s="5"/>
      <c r="B17" s="6"/>
      <c r="C17" s="6"/>
      <c r="D17" s="6" t="s">
        <v>28</v>
      </c>
      <c r="E17" s="6"/>
      <c r="F17" s="6"/>
      <c r="G17" s="6"/>
      <c r="H17" s="7"/>
    </row>
    <row r="18" spans="1:8">
      <c r="A18" s="8"/>
      <c r="B18" s="9" t="s">
        <v>0</v>
      </c>
      <c r="C18" s="9" t="s">
        <v>54</v>
      </c>
      <c r="D18" s="9" t="s">
        <v>55</v>
      </c>
      <c r="E18" s="9" t="s">
        <v>53</v>
      </c>
      <c r="F18" s="9" t="s">
        <v>52</v>
      </c>
      <c r="G18" s="9" t="s">
        <v>43</v>
      </c>
      <c r="H18" s="10" t="s">
        <v>3</v>
      </c>
    </row>
    <row r="19" spans="1:8">
      <c r="A19" s="8" t="s">
        <v>13</v>
      </c>
      <c r="B19" s="14">
        <f t="shared" ref="B19:G19" si="6">B16*12</f>
        <v>135.47143055072041</v>
      </c>
      <c r="C19" s="14">
        <f t="shared" si="6"/>
        <v>585.48339188654234</v>
      </c>
      <c r="D19" s="14">
        <f t="shared" si="6"/>
        <v>413.59234872743798</v>
      </c>
      <c r="E19" s="14">
        <f t="shared" si="6"/>
        <v>543.21587555364829</v>
      </c>
      <c r="F19" s="14">
        <f t="shared" si="6"/>
        <v>489.16393896237076</v>
      </c>
      <c r="G19" s="14" t="e">
        <f t="shared" si="6"/>
        <v>#VALUE!</v>
      </c>
      <c r="H19" s="10" t="s">
        <v>40</v>
      </c>
    </row>
    <row r="20" spans="1:8" ht="15.75" thickBot="1">
      <c r="A20" s="11" t="s">
        <v>14</v>
      </c>
      <c r="B20" s="15">
        <f>B19*-1</f>
        <v>-135.47143055072041</v>
      </c>
      <c r="C20" s="15">
        <f t="shared" ref="C20:G20" si="7">C19*-1</f>
        <v>-585.48339188654234</v>
      </c>
      <c r="D20" s="15">
        <f t="shared" si="7"/>
        <v>-413.59234872743798</v>
      </c>
      <c r="E20" s="15">
        <f t="shared" si="7"/>
        <v>-543.21587555364829</v>
      </c>
      <c r="F20" s="15">
        <f t="shared" si="7"/>
        <v>-489.16393896237076</v>
      </c>
      <c r="G20" s="15" t="e">
        <f t="shared" si="7"/>
        <v>#VALUE!</v>
      </c>
      <c r="H20" s="12" t="s">
        <v>40</v>
      </c>
    </row>
    <row r="23" spans="1:8">
      <c r="H23" s="2"/>
    </row>
    <row r="25" spans="1:8">
      <c r="A25" s="1"/>
      <c r="H25" s="2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  <c r="D32" s="1"/>
      <c r="E32" s="1"/>
      <c r="F32" s="1"/>
      <c r="G32" s="1"/>
    </row>
  </sheetData>
  <sheetProtection password="D8F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A8" sqref="A8"/>
    </sheetView>
  </sheetViews>
  <sheetFormatPr defaultRowHeight="15"/>
  <cols>
    <col min="1" max="1" width="31.5703125" bestFit="1" customWidth="1"/>
    <col min="2" max="3" width="17.28515625" customWidth="1"/>
    <col min="4" max="6" width="12.42578125" customWidth="1"/>
    <col min="7" max="7" width="9.5703125" bestFit="1" customWidth="1"/>
    <col min="8" max="8" width="14.7109375" bestFit="1" customWidth="1"/>
  </cols>
  <sheetData>
    <row r="1" spans="1:15">
      <c r="A1" t="s">
        <v>45</v>
      </c>
      <c r="B1" s="17">
        <f>'Input and results'!B5</f>
        <v>3</v>
      </c>
      <c r="C1" s="17"/>
      <c r="I1" t="s">
        <v>18</v>
      </c>
      <c r="J1" t="s">
        <v>0</v>
      </c>
      <c r="K1" t="s">
        <v>54</v>
      </c>
      <c r="L1" t="s">
        <v>55</v>
      </c>
      <c r="M1" t="s">
        <v>53</v>
      </c>
      <c r="N1" t="s">
        <v>52</v>
      </c>
      <c r="O1" t="s">
        <v>43</v>
      </c>
    </row>
    <row r="2" spans="1:15">
      <c r="A2" t="s">
        <v>9</v>
      </c>
      <c r="B2" s="17">
        <f>'Input and results'!B6</f>
        <v>0.66700000000000004</v>
      </c>
      <c r="C2" s="17"/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</row>
    <row r="3" spans="1:15">
      <c r="A3" s="1" t="s">
        <v>16</v>
      </c>
      <c r="B3" s="17">
        <f>'Input and results'!B7</f>
        <v>10.602875205865551</v>
      </c>
      <c r="C3" s="17"/>
      <c r="I3" t="s">
        <v>19</v>
      </c>
      <c r="J3">
        <v>2.3140000000000001</v>
      </c>
      <c r="K3">
        <v>10.06</v>
      </c>
      <c r="L3">
        <v>7.0949999999999998</v>
      </c>
      <c r="M3">
        <v>9.2899999999999991</v>
      </c>
      <c r="N3">
        <v>8.3689999999999998</v>
      </c>
      <c r="O3" t="s">
        <v>21</v>
      </c>
    </row>
    <row r="4" spans="1:15">
      <c r="A4" s="1" t="s">
        <v>17</v>
      </c>
      <c r="B4" s="17">
        <f>'Input and results'!B8</f>
        <v>7.0685834705770348E-2</v>
      </c>
      <c r="C4" s="17"/>
      <c r="I4" t="s">
        <v>20</v>
      </c>
      <c r="J4">
        <v>2.2109999999999999</v>
      </c>
      <c r="K4">
        <v>7.617</v>
      </c>
      <c r="L4">
        <v>8.8439999999999994</v>
      </c>
      <c r="M4">
        <v>6.0579999999999998</v>
      </c>
      <c r="N4">
        <v>9.2309999999999999</v>
      </c>
      <c r="O4">
        <v>13.2</v>
      </c>
    </row>
    <row r="5" spans="1:15">
      <c r="A5" s="1" t="s">
        <v>22</v>
      </c>
      <c r="B5" s="17">
        <f>'Input and results'!B9</f>
        <v>20</v>
      </c>
      <c r="C5" s="17"/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1:15">
      <c r="A6" s="1" t="s">
        <v>24</v>
      </c>
      <c r="B6" s="17">
        <f>'Input and results'!B10</f>
        <v>0.96499999999999997</v>
      </c>
      <c r="C6" s="17"/>
      <c r="I6" t="s">
        <v>19</v>
      </c>
      <c r="J6">
        <v>1.0049999999999999</v>
      </c>
      <c r="K6">
        <v>0.99039999999999995</v>
      </c>
      <c r="L6">
        <v>0.99439999999999995</v>
      </c>
      <c r="M6">
        <v>1.002</v>
      </c>
      <c r="N6">
        <v>1.0009999999999999</v>
      </c>
      <c r="O6" t="s">
        <v>21</v>
      </c>
    </row>
    <row r="7" spans="1:15">
      <c r="A7" t="s">
        <v>49</v>
      </c>
      <c r="B7" s="17">
        <f>'Input and results'!$B$14</f>
        <v>1.79</v>
      </c>
      <c r="C7" s="17"/>
      <c r="I7" t="s">
        <v>20</v>
      </c>
      <c r="J7">
        <v>0.99750000000000005</v>
      </c>
      <c r="K7">
        <v>1.004</v>
      </c>
      <c r="L7">
        <v>0.99660000000000004</v>
      </c>
      <c r="M7">
        <v>1.0349999999999999</v>
      </c>
      <c r="N7">
        <v>0.98199999999999998</v>
      </c>
      <c r="O7">
        <v>0.99729999999999996</v>
      </c>
    </row>
    <row r="8" spans="1:15">
      <c r="A8" s="16" t="s">
        <v>46</v>
      </c>
      <c r="B8" s="17">
        <f>'Input and results'!$B$18</f>
        <v>6.9</v>
      </c>
      <c r="C8" s="17"/>
    </row>
    <row r="9" spans="1:15">
      <c r="B9" t="s">
        <v>0</v>
      </c>
      <c r="C9" t="s">
        <v>54</v>
      </c>
      <c r="D9" t="s">
        <v>55</v>
      </c>
      <c r="E9" t="s">
        <v>53</v>
      </c>
      <c r="F9" t="s">
        <v>52</v>
      </c>
      <c r="G9" t="s">
        <v>43</v>
      </c>
      <c r="H9" t="s">
        <v>3</v>
      </c>
    </row>
    <row r="10" spans="1:15">
      <c r="A10" t="s">
        <v>7</v>
      </c>
      <c r="B10">
        <f t="shared" ref="B10:G10" si="0">IF($B$1=4,J4,IF($B$1=3,J3,"error"))</f>
        <v>2.3140000000000001</v>
      </c>
      <c r="C10">
        <f t="shared" si="0"/>
        <v>10.06</v>
      </c>
      <c r="D10">
        <f t="shared" si="0"/>
        <v>7.0949999999999998</v>
      </c>
      <c r="E10">
        <f t="shared" si="0"/>
        <v>9.2899999999999991</v>
      </c>
      <c r="F10">
        <f t="shared" si="0"/>
        <v>8.3689999999999998</v>
      </c>
      <c r="G10" t="str">
        <f t="shared" si="0"/>
        <v>error</v>
      </c>
      <c r="H10" t="s">
        <v>11</v>
      </c>
    </row>
    <row r="11" spans="1:15">
      <c r="A11" t="s">
        <v>8</v>
      </c>
      <c r="B11">
        <f t="shared" ref="B11:G11" si="1">IF($B$1=4,J7,IF($B$1=3,J6,"error"))</f>
        <v>1.0049999999999999</v>
      </c>
      <c r="C11">
        <f t="shared" si="1"/>
        <v>0.99039999999999995</v>
      </c>
      <c r="D11">
        <f t="shared" si="1"/>
        <v>0.99439999999999995</v>
      </c>
      <c r="E11">
        <f t="shared" si="1"/>
        <v>1.002</v>
      </c>
      <c r="F11">
        <f t="shared" si="1"/>
        <v>1.0009999999999999</v>
      </c>
      <c r="G11" t="str">
        <f t="shared" si="1"/>
        <v>error</v>
      </c>
      <c r="H11" s="2" t="s">
        <v>12</v>
      </c>
    </row>
    <row r="12" spans="1:15">
      <c r="A12" t="s">
        <v>6</v>
      </c>
      <c r="B12">
        <f t="shared" ref="B12:G12" si="2">B10*$B$2^-B11</f>
        <v>3.4762971432660548</v>
      </c>
      <c r="C12">
        <f t="shared" si="2"/>
        <v>15.02393703507019</v>
      </c>
      <c r="D12">
        <f t="shared" si="2"/>
        <v>10.61308568539542</v>
      </c>
      <c r="E12">
        <f t="shared" si="2"/>
        <v>13.939321292225584</v>
      </c>
      <c r="F12">
        <f t="shared" si="2"/>
        <v>12.552308606256302</v>
      </c>
      <c r="G12" t="e">
        <f t="shared" si="2"/>
        <v>#VALUE!</v>
      </c>
      <c r="H12" s="2" t="s">
        <v>4</v>
      </c>
    </row>
    <row r="13" spans="1:15">
      <c r="A13" t="s">
        <v>5</v>
      </c>
      <c r="B13">
        <f t="shared" ref="B13:G13" si="3">B12*$B$7</f>
        <v>6.2225718864462385</v>
      </c>
      <c r="C13">
        <f t="shared" si="3"/>
        <v>26.892847292775642</v>
      </c>
      <c r="D13">
        <f t="shared" si="3"/>
        <v>18.997423376857803</v>
      </c>
      <c r="E13">
        <f t="shared" si="3"/>
        <v>24.951385113083795</v>
      </c>
      <c r="F13">
        <f t="shared" si="3"/>
        <v>22.468632405198782</v>
      </c>
      <c r="G13" t="e">
        <f t="shared" si="3"/>
        <v>#VALUE!</v>
      </c>
      <c r="H13" t="s">
        <v>36</v>
      </c>
    </row>
    <row r="14" spans="1:15">
      <c r="A14" s="1" t="s">
        <v>13</v>
      </c>
      <c r="B14">
        <f t="shared" ref="B14:G14" si="4">B13*$B$8/100</f>
        <v>0.42935746016479048</v>
      </c>
      <c r="C14">
        <f t="shared" si="4"/>
        <v>1.8556064632015192</v>
      </c>
      <c r="D14">
        <f t="shared" si="4"/>
        <v>1.3108222130031886</v>
      </c>
      <c r="E14">
        <f t="shared" si="4"/>
        <v>1.721645572802782</v>
      </c>
      <c r="F14">
        <f t="shared" si="4"/>
        <v>1.5503356359587162</v>
      </c>
      <c r="G14" t="e">
        <f t="shared" si="4"/>
        <v>#VALUE!</v>
      </c>
      <c r="H14" t="s">
        <v>37</v>
      </c>
    </row>
    <row r="15" spans="1:15">
      <c r="A15" s="1" t="s">
        <v>13</v>
      </c>
      <c r="B15">
        <f t="shared" ref="B15:G15" si="5">B14*$B$3/$B$4</f>
        <v>64.403619024718566</v>
      </c>
      <c r="C15">
        <f t="shared" si="5"/>
        <v>278.34096948022784</v>
      </c>
      <c r="D15">
        <f t="shared" si="5"/>
        <v>196.62333195047827</v>
      </c>
      <c r="E15">
        <f t="shared" si="5"/>
        <v>258.24683592041731</v>
      </c>
      <c r="F15">
        <f t="shared" si="5"/>
        <v>232.55034539380742</v>
      </c>
      <c r="G15" t="e">
        <f t="shared" si="5"/>
        <v>#VALUE!</v>
      </c>
      <c r="H15" t="s">
        <v>38</v>
      </c>
    </row>
    <row r="16" spans="1:15" ht="15.75" thickBot="1">
      <c r="A16" s="1" t="s">
        <v>13</v>
      </c>
      <c r="B16">
        <f>B15*$B$6/0.08206/(273.15+$B$5)</f>
        <v>2.5835458568524916</v>
      </c>
      <c r="C16">
        <f>C15*$B$6/0.08206/(273.15+$B$5)</f>
        <v>11.165624997206292</v>
      </c>
      <c r="D16">
        <f>D15*$B$6/0.08206/(273.15+$B$5)</f>
        <v>7.8875287183197234</v>
      </c>
      <c r="E16">
        <f>E15*$B$6/0.08206/(273.15+$B$5)</f>
        <v>10.359550489412499</v>
      </c>
      <c r="F16">
        <f>F15*$B$6/0.08206/(273.15+$B$5)</f>
        <v>9.3287378947011348</v>
      </c>
      <c r="G16" t="e">
        <f>G15*$B$6/0.08206/(273.15+$B$5)</f>
        <v>#VALUE!</v>
      </c>
      <c r="H16" t="s">
        <v>39</v>
      </c>
    </row>
    <row r="17" spans="1:8">
      <c r="A17" s="5"/>
      <c r="B17" s="6"/>
      <c r="C17" s="6"/>
      <c r="D17" s="6" t="s">
        <v>28</v>
      </c>
      <c r="E17" s="6"/>
      <c r="F17" s="6"/>
      <c r="G17" s="6"/>
      <c r="H17" s="7"/>
    </row>
    <row r="18" spans="1:8">
      <c r="A18" s="8"/>
      <c r="B18" s="9" t="s">
        <v>0</v>
      </c>
      <c r="C18" s="9" t="s">
        <v>54</v>
      </c>
      <c r="D18" s="9" t="s">
        <v>55</v>
      </c>
      <c r="E18" s="9" t="s">
        <v>53</v>
      </c>
      <c r="F18" s="9" t="s">
        <v>52</v>
      </c>
      <c r="G18" s="9" t="s">
        <v>43</v>
      </c>
      <c r="H18" s="10" t="s">
        <v>3</v>
      </c>
    </row>
    <row r="19" spans="1:8">
      <c r="A19" s="8" t="s">
        <v>13</v>
      </c>
      <c r="B19" s="14">
        <f t="shared" ref="B19:G19" si="6">B16*12</f>
        <v>31.002550282229898</v>
      </c>
      <c r="C19" s="14">
        <f t="shared" si="6"/>
        <v>133.9874999664755</v>
      </c>
      <c r="D19" s="14">
        <f t="shared" si="6"/>
        <v>94.650344619836687</v>
      </c>
      <c r="E19" s="14">
        <f t="shared" si="6"/>
        <v>124.31460587294998</v>
      </c>
      <c r="F19" s="14">
        <f t="shared" si="6"/>
        <v>111.94485473641362</v>
      </c>
      <c r="G19" s="14" t="e">
        <f t="shared" si="6"/>
        <v>#VALUE!</v>
      </c>
      <c r="H19" s="10" t="s">
        <v>42</v>
      </c>
    </row>
    <row r="20" spans="1:8" ht="15.75" thickBot="1">
      <c r="A20" s="11" t="s">
        <v>14</v>
      </c>
      <c r="B20" s="15">
        <f t="shared" ref="B20:G20" si="7">B19*-1</f>
        <v>-31.002550282229898</v>
      </c>
      <c r="C20" s="15">
        <f t="shared" si="7"/>
        <v>-133.9874999664755</v>
      </c>
      <c r="D20" s="15">
        <f t="shared" si="7"/>
        <v>-94.650344619836687</v>
      </c>
      <c r="E20" s="15">
        <f t="shared" si="7"/>
        <v>-124.31460587294998</v>
      </c>
      <c r="F20" s="15">
        <f t="shared" si="7"/>
        <v>-111.94485473641362</v>
      </c>
      <c r="G20" s="15" t="e">
        <f t="shared" si="7"/>
        <v>#VALUE!</v>
      </c>
      <c r="H20" s="12" t="s">
        <v>42</v>
      </c>
    </row>
    <row r="23" spans="1:8">
      <c r="H23" s="2"/>
    </row>
    <row r="25" spans="1:8">
      <c r="A25" s="1"/>
      <c r="H25" s="2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  <c r="D32" s="1"/>
      <c r="E32" s="1"/>
      <c r="F32" s="1"/>
      <c r="G32" s="1"/>
    </row>
  </sheetData>
  <sheetProtection password="D8F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 and results</vt:lpstr>
      <vt:lpstr>N2O calcs</vt:lpstr>
      <vt:lpstr>CO2 calcs</vt:lpstr>
      <vt:lpstr>CH4 calcs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V</dc:creator>
  <cp:lastModifiedBy>Rod V</cp:lastModifiedBy>
  <dcterms:created xsi:type="dcterms:W3CDTF">2014-05-23T11:50:22Z</dcterms:created>
  <dcterms:modified xsi:type="dcterms:W3CDTF">2014-09-04T17:30:21Z</dcterms:modified>
</cp:coreProperties>
</file>